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jyxc-dz-0100037/Documents/MyProjects/金融评测/LBO_Model/"/>
    </mc:Choice>
  </mc:AlternateContent>
  <xr:revisionPtr revIDLastSave="0" documentId="13_ncr:1_{F98509E0-D82B-304A-853B-7C318AAE4A03}" xr6:coauthVersionLast="47" xr6:coauthVersionMax="47" xr10:uidLastSave="{00000000-0000-0000-0000-000000000000}"/>
  <bookViews>
    <workbookView xWindow="0" yWindow="500" windowWidth="28800" windowHeight="16500" xr2:uid="{00000000-000D-0000-FFFF-FFFF00000000}"/>
  </bookViews>
  <sheets>
    <sheet name="Cover" sheetId="1" r:id="rId1"/>
    <sheet name="Summary" sheetId="2" r:id="rId2"/>
    <sheet name="Historical Financials" sheetId="3" r:id="rId3"/>
    <sheet name="Operating Assumptions" sheetId="4" r:id="rId4"/>
    <sheet name="LBO" sheetId="5" r:id="rId5"/>
    <sheet name="Financial Model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" i="5" l="1"/>
  <c r="H85" i="5"/>
  <c r="G85" i="5"/>
  <c r="F85" i="5"/>
  <c r="E85" i="5"/>
  <c r="D85" i="5"/>
  <c r="H84" i="5"/>
  <c r="G84" i="5"/>
  <c r="F84" i="5"/>
  <c r="E84" i="5"/>
  <c r="D84" i="5"/>
  <c r="D83" i="5"/>
  <c r="H67" i="5"/>
  <c r="G67" i="5"/>
  <c r="F67" i="5"/>
  <c r="E67" i="5"/>
  <c r="D67" i="5"/>
  <c r="H61" i="5"/>
  <c r="H83" i="5" s="1"/>
  <c r="G61" i="5"/>
  <c r="G83" i="5" s="1"/>
  <c r="F61" i="5"/>
  <c r="F83" i="5" s="1"/>
  <c r="E61" i="5"/>
  <c r="E83" i="5" s="1"/>
  <c r="D61" i="5"/>
  <c r="H46" i="5"/>
  <c r="G46" i="5"/>
  <c r="F46" i="5"/>
  <c r="E46" i="5"/>
  <c r="D46" i="5"/>
  <c r="H40" i="5"/>
  <c r="H5" i="6" s="1"/>
  <c r="G40" i="5"/>
  <c r="G5" i="6" s="1"/>
  <c r="F40" i="5"/>
  <c r="F5" i="6" s="1"/>
  <c r="E40" i="5"/>
  <c r="D40" i="5"/>
  <c r="D56" i="5" s="1"/>
  <c r="D11" i="5"/>
  <c r="H6" i="4"/>
  <c r="G6" i="4"/>
  <c r="F6" i="4"/>
  <c r="E6" i="4"/>
  <c r="D6" i="4"/>
  <c r="H4" i="4"/>
  <c r="G4" i="4"/>
  <c r="F4" i="4"/>
  <c r="E4" i="4"/>
  <c r="H13" i="3"/>
  <c r="G13" i="3"/>
  <c r="F13" i="3"/>
  <c r="E13" i="3"/>
  <c r="D13" i="3"/>
  <c r="C13" i="3"/>
  <c r="I12" i="3"/>
  <c r="I11" i="3"/>
  <c r="D10" i="5" s="1"/>
  <c r="H28" i="5" s="1"/>
  <c r="I10" i="3"/>
  <c r="I9" i="3"/>
  <c r="I8" i="3"/>
  <c r="I7" i="3"/>
  <c r="I6" i="3"/>
  <c r="I13" i="3" s="1"/>
  <c r="D7" i="5" s="1"/>
  <c r="I5" i="3"/>
  <c r="I4" i="3"/>
  <c r="C40" i="5" s="1"/>
  <c r="B18" i="2"/>
  <c r="B10" i="2"/>
  <c r="B8" i="2"/>
  <c r="B5" i="2"/>
  <c r="B4" i="2"/>
  <c r="B3" i="2"/>
  <c r="D48" i="5" l="1"/>
  <c r="D58" i="5" s="1"/>
  <c r="F56" i="5"/>
  <c r="H56" i="5"/>
  <c r="E5" i="6"/>
  <c r="E56" i="5"/>
  <c r="E86" i="5"/>
  <c r="E48" i="5"/>
  <c r="D78" i="5"/>
  <c r="D63" i="5"/>
  <c r="D6" i="6"/>
  <c r="B7" i="2"/>
  <c r="D9" i="5"/>
  <c r="D98" i="5"/>
  <c r="B28" i="5"/>
  <c r="B29" i="5"/>
  <c r="D59" i="5"/>
  <c r="D86" i="5"/>
  <c r="F48" i="5"/>
  <c r="F58" i="5" s="1"/>
  <c r="F86" i="5"/>
  <c r="G48" i="5"/>
  <c r="G86" i="5"/>
  <c r="H86" i="5"/>
  <c r="D5" i="6"/>
  <c r="H48" i="5"/>
  <c r="H58" i="5" s="1"/>
  <c r="G56" i="5"/>
  <c r="D8" i="6" l="1"/>
  <c r="C29" i="5"/>
  <c r="D110" i="5"/>
  <c r="B13" i="2"/>
  <c r="D7" i="6"/>
  <c r="D104" i="5"/>
  <c r="C28" i="5"/>
  <c r="B30" i="5"/>
  <c r="B12" i="2"/>
  <c r="E58" i="5"/>
  <c r="F78" i="5"/>
  <c r="F59" i="5"/>
  <c r="F6" i="6"/>
  <c r="F63" i="5"/>
  <c r="H6" i="6"/>
  <c r="H63" i="5"/>
  <c r="H78" i="5"/>
  <c r="H59" i="5"/>
  <c r="D116" i="5"/>
  <c r="D99" i="5"/>
  <c r="G58" i="5"/>
  <c r="D12" i="5"/>
  <c r="B9" i="2"/>
  <c r="D14" i="5"/>
  <c r="H30" i="5" s="1"/>
  <c r="F7" i="6" l="1"/>
  <c r="C30" i="5"/>
  <c r="E78" i="5"/>
  <c r="E59" i="5"/>
  <c r="E63" i="5"/>
  <c r="E6" i="6"/>
  <c r="H122" i="5"/>
  <c r="H124" i="5" s="1"/>
  <c r="H7" i="6"/>
  <c r="H8" i="6"/>
  <c r="D111" i="5"/>
  <c r="H29" i="5"/>
  <c r="D15" i="5"/>
  <c r="G63" i="5"/>
  <c r="G6" i="6"/>
  <c r="G78" i="5"/>
  <c r="G59" i="5"/>
  <c r="F8" i="6"/>
  <c r="D105" i="5"/>
  <c r="D117" i="5" l="1"/>
  <c r="D66" i="5"/>
  <c r="D139" i="5"/>
  <c r="G7" i="6"/>
  <c r="G8" i="6"/>
  <c r="E8" i="6"/>
  <c r="E7" i="6"/>
  <c r="H31" i="5"/>
  <c r="D90" i="5"/>
  <c r="B19" i="2"/>
  <c r="H32" i="5"/>
  <c r="B32" i="5" s="1"/>
  <c r="B15" i="2" l="1"/>
  <c r="B31" i="5"/>
  <c r="D29" i="5"/>
  <c r="D28" i="5"/>
  <c r="D30" i="5"/>
  <c r="D9" i="6"/>
  <c r="D69" i="5"/>
  <c r="D72" i="5" l="1"/>
  <c r="D75" i="5"/>
  <c r="H128" i="5"/>
  <c r="C31" i="5"/>
  <c r="B14" i="2"/>
  <c r="D31" i="5"/>
  <c r="D10" i="6" l="1"/>
  <c r="D82" i="5"/>
  <c r="D88" i="5" s="1"/>
  <c r="D91" i="5" l="1"/>
  <c r="D11" i="6"/>
  <c r="D100" i="5" l="1"/>
  <c r="D112" i="5" s="1"/>
  <c r="D113" i="5" s="1"/>
  <c r="E110" i="5" s="1"/>
  <c r="D106" i="5"/>
  <c r="D107" i="5" s="1"/>
  <c r="E104" i="5" l="1"/>
  <c r="D135" i="5"/>
  <c r="D118" i="5"/>
  <c r="E90" i="5" s="1"/>
  <c r="D101" i="5"/>
  <c r="E111" i="5"/>
  <c r="D119" i="5" l="1"/>
  <c r="E98" i="5"/>
  <c r="E105" i="5"/>
  <c r="E116" i="5" l="1"/>
  <c r="E99" i="5"/>
  <c r="E117" i="5" s="1"/>
  <c r="D136" i="5"/>
  <c r="D12" i="6"/>
  <c r="D13" i="6"/>
  <c r="D142" i="5"/>
  <c r="D143" i="5"/>
  <c r="E66" i="5" l="1"/>
  <c r="E139" i="5"/>
  <c r="E9" i="6" l="1"/>
  <c r="E69" i="5"/>
  <c r="E72" i="5" l="1"/>
  <c r="E75" i="5"/>
  <c r="E10" i="6" l="1"/>
  <c r="E82" i="5"/>
  <c r="E88" i="5" s="1"/>
  <c r="E91" i="5" l="1"/>
  <c r="E11" i="6"/>
  <c r="E100" i="5" l="1"/>
  <c r="E106" i="5"/>
  <c r="E107" i="5" s="1"/>
  <c r="E135" i="5" l="1"/>
  <c r="F104" i="5"/>
  <c r="E101" i="5"/>
  <c r="E112" i="5"/>
  <c r="E113" i="5" s="1"/>
  <c r="F110" i="5" s="1"/>
  <c r="F111" i="5" l="1"/>
  <c r="E119" i="5"/>
  <c r="F98" i="5"/>
  <c r="E118" i="5"/>
  <c r="F90" i="5" s="1"/>
  <c r="F105" i="5"/>
  <c r="F99" i="5" l="1"/>
  <c r="F117" i="5" s="1"/>
  <c r="F116" i="5"/>
  <c r="E12" i="6"/>
  <c r="E13" i="6"/>
  <c r="E142" i="5"/>
  <c r="E136" i="5"/>
  <c r="E143" i="5"/>
  <c r="F66" i="5" l="1"/>
  <c r="F139" i="5"/>
  <c r="F9" i="6" l="1"/>
  <c r="F69" i="5"/>
  <c r="F72" i="5" l="1"/>
  <c r="F75" i="5" s="1"/>
  <c r="F10" i="6" l="1"/>
  <c r="F82" i="5"/>
  <c r="F88" i="5" s="1"/>
  <c r="F11" i="6" l="1"/>
  <c r="F91" i="5"/>
  <c r="F100" i="5" l="1"/>
  <c r="F106" i="5"/>
  <c r="F107" i="5" s="1"/>
  <c r="F135" i="5" l="1"/>
  <c r="G104" i="5"/>
  <c r="F101" i="5"/>
  <c r="F112" i="5"/>
  <c r="F113" i="5" s="1"/>
  <c r="G110" i="5" s="1"/>
  <c r="G111" i="5" l="1"/>
  <c r="F119" i="5"/>
  <c r="G98" i="5"/>
  <c r="F118" i="5"/>
  <c r="G90" i="5" s="1"/>
  <c r="G105" i="5"/>
  <c r="G99" i="5" l="1"/>
  <c r="G117" i="5" s="1"/>
  <c r="G116" i="5"/>
  <c r="F13" i="6"/>
  <c r="F142" i="5"/>
  <c r="F136" i="5"/>
  <c r="F12" i="6"/>
  <c r="F143" i="5"/>
  <c r="G66" i="5" l="1"/>
  <c r="G139" i="5"/>
  <c r="G9" i="6" l="1"/>
  <c r="G69" i="5"/>
  <c r="G72" i="5" l="1"/>
  <c r="G75" i="5" s="1"/>
  <c r="G10" i="6" l="1"/>
  <c r="G82" i="5"/>
  <c r="G88" i="5" s="1"/>
  <c r="G11" i="6" l="1"/>
  <c r="G91" i="5"/>
  <c r="G100" i="5" l="1"/>
  <c r="G106" i="5"/>
  <c r="G107" i="5" s="1"/>
  <c r="G135" i="5" l="1"/>
  <c r="H104" i="5"/>
  <c r="G101" i="5"/>
  <c r="G112" i="5"/>
  <c r="G113" i="5" s="1"/>
  <c r="H110" i="5" s="1"/>
  <c r="H111" i="5" l="1"/>
  <c r="H98" i="5"/>
  <c r="G119" i="5"/>
  <c r="G118" i="5"/>
  <c r="H90" i="5" s="1"/>
  <c r="H105" i="5"/>
  <c r="G13" i="6" l="1"/>
  <c r="G142" i="5"/>
  <c r="G136" i="5"/>
  <c r="G12" i="6"/>
  <c r="G143" i="5"/>
  <c r="H99" i="5"/>
  <c r="H117" i="5" s="1"/>
  <c r="H116" i="5"/>
  <c r="H66" i="5" l="1"/>
  <c r="H139" i="5"/>
  <c r="H9" i="6" l="1"/>
  <c r="H69" i="5"/>
  <c r="H72" i="5" l="1"/>
  <c r="H75" i="5" s="1"/>
  <c r="H82" i="5" l="1"/>
  <c r="H88" i="5" s="1"/>
  <c r="H10" i="6"/>
  <c r="H11" i="6" l="1"/>
  <c r="H91" i="5"/>
  <c r="H100" i="5" l="1"/>
  <c r="H101" i="5" l="1"/>
  <c r="H106" i="5"/>
  <c r="H107" i="5" s="1"/>
  <c r="H135" i="5" s="1"/>
  <c r="H112" i="5" l="1"/>
  <c r="H113" i="5" s="1"/>
  <c r="H119" i="5"/>
  <c r="H118" i="5"/>
  <c r="H13" i="6" l="1"/>
  <c r="H142" i="5"/>
  <c r="H125" i="5"/>
  <c r="H126" i="5" s="1"/>
  <c r="H136" i="5"/>
  <c r="H12" i="6"/>
  <c r="H143" i="5"/>
  <c r="B20" i="2" l="1"/>
  <c r="H130" i="5"/>
  <c r="B21" i="2" l="1"/>
  <c r="H131" i="5"/>
  <c r="B22" i="2" s="1"/>
</calcChain>
</file>

<file path=xl/sharedStrings.xml><?xml version="1.0" encoding="utf-8"?>
<sst xmlns="http://schemas.openxmlformats.org/spreadsheetml/2006/main" count="203" uniqueCount="140">
  <si>
    <t>LBO MODEL</t>
  </si>
  <si>
    <t>Target:</t>
  </si>
  <si>
    <t>Vista Energy</t>
  </si>
  <si>
    <t>Sponsor:</t>
  </si>
  <si>
    <t>Sponsor LLC</t>
  </si>
  <si>
    <t>Transaction Date:</t>
  </si>
  <si>
    <t>2026-06-01</t>
  </si>
  <si>
    <t>Currency:</t>
  </si>
  <si>
    <t>USD</t>
  </si>
  <si>
    <t>Units:</t>
  </si>
  <si>
    <t>$M</t>
  </si>
  <si>
    <t>Transaction Summary</t>
  </si>
  <si>
    <t>Target</t>
  </si>
  <si>
    <t>Sponsor</t>
  </si>
  <si>
    <t>Transaction Date</t>
  </si>
  <si>
    <t>LTM Adj. EBITDA</t>
  </si>
  <si>
    <t>Entry Multiple</t>
  </si>
  <si>
    <t>Entry EV</t>
  </si>
  <si>
    <t>Premium</t>
  </si>
  <si>
    <t>Senior Debt at Entry</t>
  </si>
  <si>
    <t>Subordinated Debt at Entry</t>
  </si>
  <si>
    <t>Equity Contribution</t>
  </si>
  <si>
    <t>Total Sources</t>
  </si>
  <si>
    <t>Hold Period (years)</t>
  </si>
  <si>
    <t>Exit Multiple</t>
  </si>
  <si>
    <t>Exit EV</t>
  </si>
  <si>
    <t>Sponsor Equity at Exit</t>
  </si>
  <si>
    <t>MOIC</t>
  </si>
  <si>
    <t>IRR</t>
  </si>
  <si>
    <t>Historical Financials</t>
  </si>
  <si>
    <t>FY 2018</t>
  </si>
  <si>
    <t>FY 2019</t>
  </si>
  <si>
    <t>FY 2020</t>
  </si>
  <si>
    <t>FY 2021</t>
  </si>
  <si>
    <t>FY 2022</t>
  </si>
  <si>
    <t>FY 2023</t>
  </si>
  <si>
    <t>LTM</t>
  </si>
  <si>
    <t>Revenue</t>
  </si>
  <si>
    <t>COGS</t>
  </si>
  <si>
    <t>EBIT / Operating Income</t>
  </si>
  <si>
    <t>Depreciation &amp; Amortization</t>
  </si>
  <si>
    <t>Net Income</t>
  </si>
  <si>
    <t>Capex</t>
  </si>
  <si>
    <t>Cash</t>
  </si>
  <si>
    <t>Long-Term Debt</t>
  </si>
  <si>
    <t>Tax Rate (%)</t>
  </si>
  <si>
    <t>EBITDA (derived)</t>
  </si>
  <si>
    <t>Operating Assumptions</t>
  </si>
  <si>
    <t>Units</t>
  </si>
  <si>
    <t>Pro-Forma</t>
  </si>
  <si>
    <t>Year 1</t>
  </si>
  <si>
    <t>Year 2</t>
  </si>
  <si>
    <t>Year 3</t>
  </si>
  <si>
    <t>Year 4</t>
  </si>
  <si>
    <t>Year 5</t>
  </si>
  <si>
    <t>Revenue Growth %</t>
  </si>
  <si>
    <t>%</t>
  </si>
  <si>
    <t>COGS % of Revenue</t>
  </si>
  <si>
    <t>OpEx % of Revenue</t>
  </si>
  <si>
    <t>D&amp;A</t>
  </si>
  <si>
    <t>SBC</t>
  </si>
  <si>
    <t>Tax Rate</t>
  </si>
  <si>
    <t>NWC % of Revenue</t>
  </si>
  <si>
    <t>Other Income</t>
  </si>
  <si>
    <t>LBO Model</t>
  </si>
  <si>
    <t>LBO Assumptions</t>
  </si>
  <si>
    <t>Entry</t>
  </si>
  <si>
    <t>Capital Structure</t>
  </si>
  <si>
    <t>Turns</t>
  </si>
  <si>
    <t>Rate</t>
  </si>
  <si>
    <t>LTM Adjusted EBITDA</t>
  </si>
  <si>
    <t>Senior Debt</t>
  </si>
  <si>
    <t>Entry Multiple (xEBITDA)</t>
  </si>
  <si>
    <t>Subordinated Debt</t>
  </si>
  <si>
    <t>EV</t>
  </si>
  <si>
    <t>Revolving Facility</t>
  </si>
  <si>
    <t>LTM Total Debt</t>
  </si>
  <si>
    <t>LTM Cash</t>
  </si>
  <si>
    <t>Equity Value</t>
  </si>
  <si>
    <t>Fees &amp; Expenses</t>
  </si>
  <si>
    <t>WC Liquidity</t>
  </si>
  <si>
    <t>Exit</t>
  </si>
  <si>
    <t>Exit Adj. EBITDA Multiple</t>
  </si>
  <si>
    <t>Sources and Uses</t>
  </si>
  <si>
    <t>Sources</t>
  </si>
  <si>
    <t>Uses</t>
  </si>
  <si>
    <t>Amount</t>
  </si>
  <si>
    <t>xAdj.EBITDA</t>
  </si>
  <si>
    <t>% Capital</t>
  </si>
  <si>
    <t>Debt Retirement</t>
  </si>
  <si>
    <t>Equity Payment</t>
  </si>
  <si>
    <t>Total Debt</t>
  </si>
  <si>
    <t>Total Uses</t>
  </si>
  <si>
    <t>Operating Model</t>
  </si>
  <si>
    <t>Year #</t>
  </si>
  <si>
    <t>Cost of Revenue</t>
  </si>
  <si>
    <t>Gross Profit</t>
  </si>
  <si>
    <t>Operating Expenses</t>
  </si>
  <si>
    <t>EBITDA</t>
  </si>
  <si>
    <t>% Sales</t>
  </si>
  <si>
    <t>EBIT</t>
  </si>
  <si>
    <t>Interest Expense</t>
  </si>
  <si>
    <t>EBT</t>
  </si>
  <si>
    <t>Cash Taxes</t>
  </si>
  <si>
    <t>Net Profit</t>
  </si>
  <si>
    <t>Adjusted EBITDA</t>
  </si>
  <si>
    <t>Leveraged Cash Flow</t>
  </si>
  <si>
    <t>+ D&amp;A</t>
  </si>
  <si>
    <t>+ SBC</t>
  </si>
  <si>
    <t>- Capex</t>
  </si>
  <si>
    <t>- Change in NWC</t>
  </si>
  <si>
    <t>Available Cash (beginning)</t>
  </si>
  <si>
    <t>Available Cash for Debt Paydown</t>
  </si>
  <si>
    <t>Debt Schedule</t>
  </si>
  <si>
    <t>Beginning Balance</t>
  </si>
  <si>
    <t>Interest</t>
  </si>
  <si>
    <t>Withdraw/(Paydown)</t>
  </si>
  <si>
    <t>Ending Balance</t>
  </si>
  <si>
    <t>Paydown</t>
  </si>
  <si>
    <t>IRR Calculation</t>
  </si>
  <si>
    <t>Adjusted EBITDA at Exit</t>
  </si>
  <si>
    <t>Net Debt at Exit</t>
  </si>
  <si>
    <t>Sponsor Equity at Entry</t>
  </si>
  <si>
    <t>Key Credit Statistics</t>
  </si>
  <si>
    <t>Benchmark</t>
  </si>
  <si>
    <t>Leverage Ratios</t>
  </si>
  <si>
    <t>Senior Debt / Adj. EBITDA</t>
  </si>
  <si>
    <t>4.0x–5.0x</t>
  </si>
  <si>
    <t>Total Debt / Adj. EBITDA</t>
  </si>
  <si>
    <t>5.5x–6.5x</t>
  </si>
  <si>
    <t>Coverage Ratio</t>
  </si>
  <si>
    <t>Adj. EBITDA / Interest</t>
  </si>
  <si>
    <t>≥1.5x</t>
  </si>
  <si>
    <t>Capital Structure Ratios</t>
  </si>
  <si>
    <t>Debt-to-Capital</t>
  </si>
  <si>
    <t>Equity-to-Capital</t>
  </si>
  <si>
    <t>Financial Model — Projected</t>
  </si>
  <si>
    <t>Adj. EBITDA</t>
  </si>
  <si>
    <t>Total Debt (EoP)</t>
  </si>
  <si>
    <t>Net Debt / Adj.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</si>
</sst>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0&quot;x&quot;"/>
    <numFmt numFmtId="178" formatCode="0.0%"/>
    <numFmt numFmtId="179" formatCode="0.0&quot;x&quot;"/>
  </numFmts>
  <fonts count="8">
    <font>
      <sz val="11"/>
      <color theme="1"/>
      <name val="宋体"/>
      <family val="2"/>
      <scheme val="minor"/>
    </font>
    <font>
      <b/>
      <sz val="24"/>
      <color rgb="FF1F3864"/>
      <name val="Calibri"/>
      <family val="2"/>
    </font>
    <font>
      <b/>
      <sz val="11"/>
      <name val="Calibri"/>
      <family val="2"/>
    </font>
    <font>
      <sz val="11"/>
      <color rgb="FF0070C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1F3864"/>
      <name val="Calibri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176" fontId="5" fillId="0" borderId="0" xfId="0" applyNumberFormat="1" applyFont="1"/>
    <xf numFmtId="177" fontId="5" fillId="0" borderId="0" xfId="0" applyNumberFormat="1" applyFont="1"/>
    <xf numFmtId="10" fontId="5" fillId="0" borderId="0" xfId="0" applyNumberFormat="1" applyFont="1"/>
    <xf numFmtId="0" fontId="2" fillId="0" borderId="0" xfId="0" applyFont="1" applyAlignment="1">
      <alignment horizontal="center"/>
    </xf>
    <xf numFmtId="176" fontId="3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/>
    <xf numFmtId="178" fontId="3" fillId="0" borderId="0" xfId="0" applyNumberFormat="1" applyFont="1"/>
    <xf numFmtId="0" fontId="6" fillId="3" borderId="0" xfId="0" applyFont="1" applyFill="1"/>
    <xf numFmtId="179" fontId="3" fillId="0" borderId="0" xfId="0" applyNumberFormat="1" applyFont="1"/>
    <xf numFmtId="10" fontId="3" fillId="0" borderId="0" xfId="0" applyNumberFormat="1" applyFont="1"/>
    <xf numFmtId="176" fontId="0" fillId="0" borderId="0" xfId="0" applyNumberFormat="1"/>
    <xf numFmtId="179" fontId="0" fillId="0" borderId="0" xfId="0" applyNumberFormat="1"/>
    <xf numFmtId="178" fontId="0" fillId="0" borderId="0" xfId="0" applyNumberFormat="1"/>
    <xf numFmtId="177" fontId="0" fillId="0" borderId="0" xfId="0" applyNumberFormat="1"/>
    <xf numFmtId="10" fontId="0" fillId="0" borderId="0" xfId="0" applyNumberForma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8"/>
  <sheetViews>
    <sheetView tabSelected="1" workbookViewId="0"/>
  </sheetViews>
  <sheetFormatPr baseColWidth="10" defaultColWidth="8.83203125" defaultRowHeight="14"/>
  <cols>
    <col min="1" max="1" width="40" customWidth="1"/>
  </cols>
  <sheetData>
    <row r="2" spans="1:2" ht="31">
      <c r="A2" s="1" t="s">
        <v>0</v>
      </c>
    </row>
    <row r="4" spans="1:2" ht="15">
      <c r="A4" s="2" t="s">
        <v>1</v>
      </c>
      <c r="B4" s="3" t="s">
        <v>2</v>
      </c>
    </row>
    <row r="5" spans="1:2" ht="15">
      <c r="A5" s="2" t="s">
        <v>3</v>
      </c>
      <c r="B5" s="3" t="s">
        <v>4</v>
      </c>
    </row>
    <row r="6" spans="1:2" ht="15">
      <c r="A6" s="2" t="s">
        <v>5</v>
      </c>
      <c r="B6" s="3" t="s">
        <v>6</v>
      </c>
    </row>
    <row r="7" spans="1:2" ht="15">
      <c r="A7" s="2" t="s">
        <v>7</v>
      </c>
      <c r="B7" s="3" t="s">
        <v>8</v>
      </c>
    </row>
    <row r="8" spans="1:2" ht="15">
      <c r="A8" s="2" t="s">
        <v>9</v>
      </c>
      <c r="B8" s="3" t="s">
        <v>10</v>
      </c>
    </row>
  </sheetData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workbookViewId="0"/>
  </sheetViews>
  <sheetFormatPr baseColWidth="10" defaultColWidth="8.83203125" defaultRowHeight="14"/>
  <cols>
    <col min="1" max="1" width="32" customWidth="1"/>
    <col min="2" max="2" width="18" customWidth="1"/>
  </cols>
  <sheetData>
    <row r="1" spans="1:2" ht="15">
      <c r="A1" s="4" t="s">
        <v>11</v>
      </c>
    </row>
    <row r="3" spans="1:2" ht="15">
      <c r="A3" s="2" t="s">
        <v>12</v>
      </c>
      <c r="B3" s="5" t="str">
        <f>Cover!B4</f>
        <v>Vista Energy</v>
      </c>
    </row>
    <row r="4" spans="1:2" ht="15">
      <c r="A4" s="2" t="s">
        <v>13</v>
      </c>
      <c r="B4" s="5" t="str">
        <f>Cover!B5</f>
        <v>Sponsor LLC</v>
      </c>
    </row>
    <row r="5" spans="1:2" ht="15">
      <c r="A5" s="2" t="s">
        <v>14</v>
      </c>
      <c r="B5" s="5" t="str">
        <f>Cover!B6</f>
        <v>2026-06-01</v>
      </c>
    </row>
    <row r="6" spans="1:2" ht="15">
      <c r="A6" s="2"/>
      <c r="B6" s="3"/>
    </row>
    <row r="7" spans="1:2" ht="15">
      <c r="A7" s="2" t="s">
        <v>15</v>
      </c>
      <c r="B7" s="5">
        <f>LBO!D7</f>
        <v>907.91699999999992</v>
      </c>
    </row>
    <row r="8" spans="1:2" ht="15">
      <c r="A8" s="2" t="s">
        <v>16</v>
      </c>
      <c r="B8" s="6">
        <f>LBO!D8</f>
        <v>7.5902716207362886</v>
      </c>
    </row>
    <row r="9" spans="1:2" ht="15">
      <c r="A9" s="2" t="s">
        <v>17</v>
      </c>
      <c r="B9" s="5">
        <f>LBO!D9</f>
        <v>6891.3366390840283</v>
      </c>
    </row>
    <row r="10" spans="1:2" ht="15">
      <c r="A10" s="2" t="s">
        <v>18</v>
      </c>
      <c r="B10" s="7">
        <f>LBO!D13</f>
        <v>0.35</v>
      </c>
    </row>
    <row r="11" spans="1:2" ht="15">
      <c r="A11" s="2"/>
      <c r="B11" s="3"/>
    </row>
    <row r="12" spans="1:2" ht="15">
      <c r="A12" s="2" t="s">
        <v>19</v>
      </c>
      <c r="B12" s="5">
        <f>LBO!B28</f>
        <v>4539.5849999999991</v>
      </c>
    </row>
    <row r="13" spans="1:2" ht="15">
      <c r="A13" s="2" t="s">
        <v>20</v>
      </c>
      <c r="B13" s="5">
        <f>LBO!B29</f>
        <v>1361.8754999999999</v>
      </c>
    </row>
    <row r="14" spans="1:2" ht="15">
      <c r="A14" s="2" t="s">
        <v>21</v>
      </c>
      <c r="B14" s="5">
        <f>LBO!B31</f>
        <v>5270.8104553161265</v>
      </c>
    </row>
    <row r="15" spans="1:2" ht="15">
      <c r="A15" s="2" t="s">
        <v>22</v>
      </c>
      <c r="B15" s="5">
        <f>LBO!B32</f>
        <v>11172.270955316126</v>
      </c>
    </row>
    <row r="16" spans="1:2" ht="15">
      <c r="A16" s="2"/>
      <c r="B16" s="3"/>
    </row>
    <row r="17" spans="1:2" ht="15">
      <c r="A17" s="2" t="s">
        <v>23</v>
      </c>
      <c r="B17" s="3">
        <v>5</v>
      </c>
    </row>
    <row r="18" spans="1:2" ht="15">
      <c r="A18" s="2" t="s">
        <v>24</v>
      </c>
      <c r="B18" s="6">
        <f>LBO!D18</f>
        <v>7.5902716207362886</v>
      </c>
    </row>
    <row r="19" spans="1:2" ht="15">
      <c r="A19" s="2" t="s">
        <v>25</v>
      </c>
      <c r="B19" s="5">
        <f>LBO!H124</f>
        <v>19462.875175813464</v>
      </c>
    </row>
    <row r="20" spans="1:2" ht="15">
      <c r="A20" s="2" t="s">
        <v>26</v>
      </c>
      <c r="B20" s="5">
        <f>LBO!H126</f>
        <v>16249.153905545987</v>
      </c>
    </row>
    <row r="21" spans="1:2" ht="15">
      <c r="A21" s="2" t="s">
        <v>27</v>
      </c>
      <c r="B21" s="6">
        <f>LBO!H130</f>
        <v>3.0828568098397713</v>
      </c>
    </row>
    <row r="22" spans="1:2" ht="15">
      <c r="A22" s="2" t="s">
        <v>28</v>
      </c>
      <c r="B22" s="7">
        <f>LBO!H131</f>
        <v>0.25253730823905807</v>
      </c>
    </row>
  </sheetData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/>
  </sheetViews>
  <sheetFormatPr baseColWidth="10" defaultColWidth="8.83203125" defaultRowHeight="14"/>
  <cols>
    <col min="1" max="1" width="36" customWidth="1"/>
    <col min="2" max="2" width="10" customWidth="1"/>
  </cols>
  <sheetData>
    <row r="1" spans="1:9" ht="15">
      <c r="A1" s="4" t="s">
        <v>29</v>
      </c>
    </row>
    <row r="2" spans="1:9" ht="15">
      <c r="C2" s="8" t="s">
        <v>30</v>
      </c>
      <c r="D2" s="8" t="s">
        <v>31</v>
      </c>
      <c r="E2" s="8" t="s">
        <v>32</v>
      </c>
      <c r="F2" s="8" t="s">
        <v>33</v>
      </c>
      <c r="G2" s="8" t="s">
        <v>34</v>
      </c>
      <c r="H2" s="8" t="s">
        <v>35</v>
      </c>
      <c r="I2" s="8" t="s">
        <v>36</v>
      </c>
    </row>
    <row r="4" spans="1:9" ht="15">
      <c r="A4" s="2" t="s">
        <v>37</v>
      </c>
      <c r="C4" s="9">
        <v>331.33600000000001</v>
      </c>
      <c r="D4" s="9">
        <v>415.976</v>
      </c>
      <c r="E4" s="9">
        <v>273.93799999999999</v>
      </c>
      <c r="F4" s="9">
        <v>652.18700000000001</v>
      </c>
      <c r="G4" s="9">
        <v>1187.6600000000001</v>
      </c>
      <c r="H4" s="9">
        <v>1168.7739999999999</v>
      </c>
      <c r="I4" s="5">
        <f t="shared" ref="I4:I12" si="0">H4</f>
        <v>1168.7739999999999</v>
      </c>
    </row>
    <row r="5" spans="1:9" ht="15">
      <c r="A5" s="2" t="s">
        <v>38</v>
      </c>
      <c r="C5" s="9">
        <v>-137.809</v>
      </c>
      <c r="D5" s="9">
        <v>-175.12899999999999</v>
      </c>
      <c r="E5" s="9">
        <v>-123.831</v>
      </c>
      <c r="F5" s="9">
        <v>-194.26900000000001</v>
      </c>
      <c r="G5" s="9">
        <v>-322.56200000000001</v>
      </c>
      <c r="H5" s="9">
        <v>-301.09500000000003</v>
      </c>
      <c r="I5" s="5">
        <f t="shared" si="0"/>
        <v>-301.09500000000003</v>
      </c>
    </row>
    <row r="6" spans="1:9" ht="15">
      <c r="A6" s="2" t="s">
        <v>39</v>
      </c>
      <c r="C6" s="9">
        <v>54.198999999999977</v>
      </c>
      <c r="D6" s="9">
        <v>14.61700000000002</v>
      </c>
      <c r="E6" s="9">
        <v>-70.008000000000038</v>
      </c>
      <c r="F6" s="9">
        <v>210.553</v>
      </c>
      <c r="G6" s="9">
        <v>529.14700000000005</v>
      </c>
      <c r="H6" s="9">
        <v>631.48699999999985</v>
      </c>
      <c r="I6" s="5">
        <f t="shared" si="0"/>
        <v>631.48699999999985</v>
      </c>
    </row>
    <row r="7" spans="1:9" ht="15">
      <c r="A7" s="2" t="s">
        <v>40</v>
      </c>
      <c r="C7" s="9">
        <v>74.772000000000006</v>
      </c>
      <c r="D7" s="9">
        <v>153.001</v>
      </c>
      <c r="E7" s="9">
        <v>147.67400000000001</v>
      </c>
      <c r="F7" s="9">
        <v>191.31299999999999</v>
      </c>
      <c r="G7" s="9">
        <v>234.86199999999999</v>
      </c>
      <c r="H7" s="9">
        <v>276.43</v>
      </c>
      <c r="I7" s="5">
        <f t="shared" si="0"/>
        <v>276.43</v>
      </c>
    </row>
    <row r="8" spans="1:9" ht="15">
      <c r="A8" s="2" t="s">
        <v>41</v>
      </c>
      <c r="C8" s="9">
        <v>-29.850000000000019</v>
      </c>
      <c r="D8" s="9">
        <v>-32.722999999999978</v>
      </c>
      <c r="E8" s="9">
        <v>-102.749</v>
      </c>
      <c r="F8" s="9">
        <v>50.650000000000013</v>
      </c>
      <c r="G8" s="9">
        <v>269.53500000000008</v>
      </c>
      <c r="H8" s="9">
        <v>396.95499999999981</v>
      </c>
      <c r="I8" s="5">
        <f t="shared" si="0"/>
        <v>396.95499999999981</v>
      </c>
    </row>
    <row r="9" spans="1:9" ht="15">
      <c r="A9" s="2" t="s">
        <v>42</v>
      </c>
      <c r="C9" s="9">
        <v>149.32300000000001</v>
      </c>
      <c r="D9" s="9">
        <v>244.54</v>
      </c>
      <c r="E9" s="9">
        <v>156.92099999999999</v>
      </c>
      <c r="F9" s="9">
        <v>322.89699999999999</v>
      </c>
      <c r="G9" s="9">
        <v>485.05500000000001</v>
      </c>
      <c r="H9" s="9">
        <v>695.73</v>
      </c>
      <c r="I9" s="5">
        <f t="shared" si="0"/>
        <v>695.73</v>
      </c>
    </row>
    <row r="10" spans="1:9" ht="15">
      <c r="A10" s="2" t="s">
        <v>43</v>
      </c>
      <c r="C10" s="9">
        <v>80.908000000000001</v>
      </c>
      <c r="D10" s="9">
        <v>260.02800000000002</v>
      </c>
      <c r="E10" s="9">
        <v>202.947</v>
      </c>
      <c r="F10" s="9">
        <v>315.01299999999998</v>
      </c>
      <c r="G10" s="9">
        <v>244.38499999999999</v>
      </c>
      <c r="H10" s="9">
        <v>213.25299999999999</v>
      </c>
      <c r="I10" s="5">
        <f t="shared" si="0"/>
        <v>213.25299999999999</v>
      </c>
    </row>
    <row r="11" spans="1:9" ht="15">
      <c r="A11" s="2" t="s">
        <v>44</v>
      </c>
      <c r="C11" s="9">
        <v>294.41500000000002</v>
      </c>
      <c r="D11" s="9">
        <v>389.096</v>
      </c>
      <c r="E11" s="9">
        <v>349.55900000000003</v>
      </c>
      <c r="F11" s="9">
        <v>447.75099999999998</v>
      </c>
      <c r="G11" s="9">
        <v>477.601</v>
      </c>
      <c r="H11" s="9">
        <v>554.83199999999999</v>
      </c>
      <c r="I11" s="5">
        <f t="shared" si="0"/>
        <v>554.83199999999999</v>
      </c>
    </row>
    <row r="12" spans="1:9" ht="15">
      <c r="A12" s="2" t="s">
        <v>45</v>
      </c>
      <c r="C12" s="9">
        <v>2.699015311059255</v>
      </c>
      <c r="D12" s="9">
        <v>-0.98429446364683892</v>
      </c>
      <c r="E12" s="9">
        <v>8.9605004341585262E-2</v>
      </c>
      <c r="F12" s="9">
        <v>0.66844282684402079</v>
      </c>
      <c r="G12" s="9">
        <v>0.37825537352888261</v>
      </c>
      <c r="H12" s="9">
        <v>0.2721216666452741</v>
      </c>
      <c r="I12" s="5">
        <f t="shared" si="0"/>
        <v>0.2721216666452741</v>
      </c>
    </row>
    <row r="13" spans="1:9" ht="15">
      <c r="A13" s="2" t="s">
        <v>46</v>
      </c>
      <c r="C13" s="5">
        <f t="shared" ref="C13:I13" si="1">C6+ABS(C7)</f>
        <v>128.97099999999998</v>
      </c>
      <c r="D13" s="5">
        <f t="shared" si="1"/>
        <v>167.61800000000002</v>
      </c>
      <c r="E13" s="5">
        <f t="shared" si="1"/>
        <v>77.665999999999968</v>
      </c>
      <c r="F13" s="5">
        <f t="shared" si="1"/>
        <v>401.86599999999999</v>
      </c>
      <c r="G13" s="5">
        <f t="shared" si="1"/>
        <v>764.00900000000001</v>
      </c>
      <c r="H13" s="5">
        <f t="shared" si="1"/>
        <v>907.91699999999992</v>
      </c>
      <c r="I13" s="5">
        <f t="shared" si="1"/>
        <v>907.91699999999992</v>
      </c>
    </row>
  </sheetData>
  <phoneticPr fontId="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"/>
  <sheetViews>
    <sheetView workbookViewId="0"/>
  </sheetViews>
  <sheetFormatPr baseColWidth="10" defaultColWidth="8.83203125" defaultRowHeight="14"/>
  <cols>
    <col min="1" max="1" width="40" customWidth="1"/>
    <col min="2" max="8" width="12" customWidth="1"/>
  </cols>
  <sheetData>
    <row r="1" spans="1:8" ht="15">
      <c r="A1" s="4" t="s">
        <v>47</v>
      </c>
    </row>
    <row r="2" spans="1:8" ht="15">
      <c r="A2" s="8"/>
      <c r="B2" s="8" t="s">
        <v>48</v>
      </c>
      <c r="C2" s="8" t="s">
        <v>49</v>
      </c>
      <c r="D2" s="8" t="s">
        <v>50</v>
      </c>
      <c r="E2" s="8" t="s">
        <v>51</v>
      </c>
      <c r="F2" s="8" t="s">
        <v>52</v>
      </c>
      <c r="G2" s="8" t="s">
        <v>53</v>
      </c>
      <c r="H2" s="8" t="s">
        <v>54</v>
      </c>
    </row>
    <row r="3" spans="1:8" ht="15">
      <c r="A3" s="2" t="s">
        <v>37</v>
      </c>
      <c r="B3" s="10" t="s">
        <v>10</v>
      </c>
      <c r="D3" s="9">
        <v>1678.2570793975999</v>
      </c>
      <c r="E3" s="9">
        <v>2331.9347992366388</v>
      </c>
      <c r="F3" s="9">
        <v>2904.37868211764</v>
      </c>
      <c r="G3" s="9">
        <v>3281.9479107929319</v>
      </c>
      <c r="H3" s="9">
        <v>3511.684264548438</v>
      </c>
    </row>
    <row r="4" spans="1:8" ht="15">
      <c r="A4" s="2" t="s">
        <v>55</v>
      </c>
      <c r="B4" s="10" t="s">
        <v>56</v>
      </c>
      <c r="D4" s="11"/>
      <c r="E4" s="11" t="e">
        <f>D3/C3-1</f>
        <v>#DIV/0!</v>
      </c>
      <c r="F4" s="11">
        <f>D3/D3-1</f>
        <v>0</v>
      </c>
      <c r="G4" s="11">
        <f>D3/E3-1</f>
        <v>-0.28031560747454043</v>
      </c>
      <c r="H4" s="11">
        <f>D3/F3-1</f>
        <v>-0.42216313260709193</v>
      </c>
    </row>
    <row r="5" spans="1:8" ht="15">
      <c r="A5" s="2" t="s">
        <v>38</v>
      </c>
      <c r="B5" s="10" t="s">
        <v>10</v>
      </c>
      <c r="D5" s="9">
        <v>-385.99912826144799</v>
      </c>
      <c r="E5" s="9">
        <v>-513.02565583206069</v>
      </c>
      <c r="F5" s="9">
        <v>-609.91952324470424</v>
      </c>
      <c r="G5" s="9">
        <v>-656.38958215858656</v>
      </c>
      <c r="H5" s="9">
        <v>-702.33685290968765</v>
      </c>
    </row>
    <row r="6" spans="1:8" ht="15">
      <c r="A6" s="2" t="s">
        <v>57</v>
      </c>
      <c r="B6" s="10" t="s">
        <v>56</v>
      </c>
      <c r="D6" s="11">
        <f>D5/D3</f>
        <v>-0.23</v>
      </c>
      <c r="E6" s="11">
        <f>E5/E3</f>
        <v>-0.22000000000000006</v>
      </c>
      <c r="F6" s="11">
        <f>F5/F3</f>
        <v>-0.20999999999999994</v>
      </c>
      <c r="G6" s="11">
        <f>G5/G3</f>
        <v>-0.20000000000000007</v>
      </c>
      <c r="H6" s="11">
        <f>H5/H3</f>
        <v>-0.2</v>
      </c>
    </row>
    <row r="7" spans="1:8" ht="15">
      <c r="A7" s="2" t="s">
        <v>58</v>
      </c>
      <c r="B7" s="10" t="s">
        <v>56</v>
      </c>
      <c r="D7" s="12">
        <v>0.48080467224630258</v>
      </c>
      <c r="E7" s="12">
        <v>0.48080467224630258</v>
      </c>
      <c r="F7" s="12">
        <v>0.48080467224630258</v>
      </c>
      <c r="G7" s="12">
        <v>0.48080467224630258</v>
      </c>
      <c r="H7" s="12">
        <v>0.48080467224630258</v>
      </c>
    </row>
    <row r="8" spans="1:8" ht="15">
      <c r="A8" s="2" t="s">
        <v>42</v>
      </c>
      <c r="B8" s="10" t="s">
        <v>10</v>
      </c>
      <c r="D8" s="9">
        <v>967.2</v>
      </c>
      <c r="E8" s="9">
        <v>1041.5999999999999</v>
      </c>
      <c r="F8" s="9">
        <v>1070.04</v>
      </c>
      <c r="G8" s="9">
        <v>1049.53</v>
      </c>
      <c r="H8" s="9">
        <v>1122.51</v>
      </c>
    </row>
    <row r="9" spans="1:8" ht="15">
      <c r="A9" s="2" t="s">
        <v>59</v>
      </c>
      <c r="B9" s="10" t="s">
        <v>10</v>
      </c>
      <c r="D9" s="9">
        <v>382.822</v>
      </c>
      <c r="E9" s="9">
        <v>497.39800000000002</v>
      </c>
      <c r="F9" s="9">
        <v>615.10239999999999</v>
      </c>
      <c r="G9" s="9">
        <v>730.55070000000001</v>
      </c>
      <c r="H9" s="9">
        <v>854.02679999999998</v>
      </c>
    </row>
    <row r="10" spans="1:8" ht="15">
      <c r="A10" s="2" t="s">
        <v>60</v>
      </c>
      <c r="B10" s="10" t="s">
        <v>10</v>
      </c>
      <c r="D10" s="9">
        <v>38.6</v>
      </c>
      <c r="E10" s="9">
        <v>38.6</v>
      </c>
      <c r="F10" s="9">
        <v>38.6</v>
      </c>
      <c r="G10" s="9">
        <v>38.6</v>
      </c>
      <c r="H10" s="9">
        <v>38.6</v>
      </c>
    </row>
    <row r="11" spans="1:8" ht="15">
      <c r="A11" s="2" t="s">
        <v>61</v>
      </c>
      <c r="B11" s="10" t="s">
        <v>56</v>
      </c>
      <c r="D11" s="12">
        <v>0.35</v>
      </c>
      <c r="E11" s="12">
        <v>0.35</v>
      </c>
      <c r="F11" s="12">
        <v>0.35</v>
      </c>
      <c r="G11" s="12">
        <v>0.35</v>
      </c>
      <c r="H11" s="12">
        <v>0.35</v>
      </c>
    </row>
    <row r="12" spans="1:8" ht="15">
      <c r="A12" s="2" t="s">
        <v>62</v>
      </c>
      <c r="B12" s="10" t="s">
        <v>56</v>
      </c>
      <c r="D12" s="12">
        <v>0.1</v>
      </c>
      <c r="E12" s="12">
        <v>0.1</v>
      </c>
      <c r="F12" s="12">
        <v>0.1</v>
      </c>
      <c r="G12" s="12">
        <v>0.1</v>
      </c>
      <c r="H12" s="12">
        <v>0.1</v>
      </c>
    </row>
    <row r="13" spans="1:8" ht="15">
      <c r="A13" s="2" t="s">
        <v>63</v>
      </c>
      <c r="B13" s="10" t="s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</sheetData>
  <phoneticPr fontId="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43"/>
  <sheetViews>
    <sheetView workbookViewId="0"/>
  </sheetViews>
  <sheetFormatPr baseColWidth="10" defaultColWidth="8.83203125" defaultRowHeight="14"/>
  <cols>
    <col min="1" max="1" width="36" customWidth="1"/>
    <col min="2" max="12" width="13" customWidth="1"/>
  </cols>
  <sheetData>
    <row r="1" spans="1:12" ht="15">
      <c r="A1" s="4" t="s">
        <v>64</v>
      </c>
    </row>
    <row r="4" spans="1:12" ht="15">
      <c r="A4" s="13" t="s">
        <v>65</v>
      </c>
    </row>
    <row r="6" spans="1:12" ht="15">
      <c r="A6" s="2" t="s">
        <v>66</v>
      </c>
      <c r="J6" s="2" t="s">
        <v>67</v>
      </c>
      <c r="K6" s="2" t="s">
        <v>68</v>
      </c>
      <c r="L6" s="2" t="s">
        <v>69</v>
      </c>
    </row>
    <row r="7" spans="1:12" ht="15">
      <c r="A7" t="s">
        <v>70</v>
      </c>
      <c r="D7" s="5">
        <f>'Historical Financials'!I13</f>
        <v>907.91699999999992</v>
      </c>
      <c r="J7" t="s">
        <v>71</v>
      </c>
      <c r="K7" s="14">
        <v>5</v>
      </c>
      <c r="L7" s="15">
        <v>7.4999999999999997E-2</v>
      </c>
    </row>
    <row r="8" spans="1:12" ht="15">
      <c r="A8" t="s">
        <v>72</v>
      </c>
      <c r="D8" s="14">
        <v>7.5902716207362886</v>
      </c>
      <c r="J8" t="s">
        <v>73</v>
      </c>
      <c r="K8" s="14">
        <v>1.5</v>
      </c>
      <c r="L8" s="15">
        <v>0.1</v>
      </c>
    </row>
    <row r="9" spans="1:12" ht="15">
      <c r="A9" t="s">
        <v>74</v>
      </c>
      <c r="D9" s="5">
        <f>D7*D8</f>
        <v>6891.3366390840283</v>
      </c>
      <c r="J9" t="s">
        <v>75</v>
      </c>
      <c r="K9" s="14">
        <v>0</v>
      </c>
      <c r="L9" s="15">
        <v>0.06</v>
      </c>
    </row>
    <row r="10" spans="1:12" ht="15">
      <c r="A10" t="s">
        <v>76</v>
      </c>
      <c r="D10" s="5">
        <f>'Historical Financials'!I11</f>
        <v>554.83199999999999</v>
      </c>
    </row>
    <row r="11" spans="1:12" ht="15">
      <c r="A11" t="s">
        <v>77</v>
      </c>
      <c r="D11" s="5">
        <f>'Historical Financials'!I10</f>
        <v>213.25299999999999</v>
      </c>
    </row>
    <row r="12" spans="1:12" ht="15">
      <c r="A12" t="s">
        <v>78</v>
      </c>
      <c r="D12" s="5">
        <f>D9-D10+D11</f>
        <v>6549.7576390840277</v>
      </c>
    </row>
    <row r="13" spans="1:12" ht="15">
      <c r="A13" t="s">
        <v>18</v>
      </c>
      <c r="D13" s="12">
        <v>0.35</v>
      </c>
    </row>
    <row r="14" spans="1:12" ht="15">
      <c r="A14" t="s">
        <v>79</v>
      </c>
      <c r="D14" s="5">
        <f>D9*0.02</f>
        <v>137.82673278168056</v>
      </c>
    </row>
    <row r="15" spans="1:12" ht="15">
      <c r="A15" t="s">
        <v>80</v>
      </c>
      <c r="D15" s="5">
        <f>D12/4</f>
        <v>1637.4394097710069</v>
      </c>
    </row>
    <row r="17" spans="1:10" ht="15">
      <c r="A17" s="2" t="s">
        <v>81</v>
      </c>
    </row>
    <row r="18" spans="1:10" ht="15">
      <c r="A18" t="s">
        <v>82</v>
      </c>
      <c r="D18" s="14">
        <v>7.5902716207362886</v>
      </c>
    </row>
    <row r="24" spans="1:10" ht="15">
      <c r="A24" s="13" t="s">
        <v>83</v>
      </c>
    </row>
    <row r="26" spans="1:10" ht="15">
      <c r="A26" s="2" t="s">
        <v>84</v>
      </c>
      <c r="G26" s="2" t="s">
        <v>85</v>
      </c>
    </row>
    <row r="27" spans="1:10" ht="15">
      <c r="A27" s="2"/>
      <c r="B27" s="2" t="s">
        <v>86</v>
      </c>
      <c r="C27" s="2" t="s">
        <v>87</v>
      </c>
      <c r="D27" s="2" t="s">
        <v>88</v>
      </c>
      <c r="G27" s="2"/>
      <c r="H27" s="2" t="s">
        <v>86</v>
      </c>
      <c r="I27" s="2" t="s">
        <v>87</v>
      </c>
      <c r="J27" s="2" t="s">
        <v>88</v>
      </c>
    </row>
    <row r="28" spans="1:10">
      <c r="A28" t="s">
        <v>71</v>
      </c>
      <c r="B28" s="16">
        <f>D7*K7</f>
        <v>4539.5849999999991</v>
      </c>
      <c r="C28" s="17">
        <f>B28/D7</f>
        <v>4.9999999999999991</v>
      </c>
      <c r="D28" s="18">
        <f>B28/$B$32</f>
        <v>0.40632607445310109</v>
      </c>
      <c r="G28" t="s">
        <v>89</v>
      </c>
      <c r="H28" s="16">
        <f>D10</f>
        <v>554.83199999999999</v>
      </c>
    </row>
    <row r="29" spans="1:10">
      <c r="A29" t="s">
        <v>73</v>
      </c>
      <c r="B29" s="16">
        <f>D7*K8</f>
        <v>1361.8754999999999</v>
      </c>
      <c r="C29" s="17">
        <f>B29/D7</f>
        <v>1.5</v>
      </c>
      <c r="D29" s="18">
        <f>B29/$B$32</f>
        <v>0.12189782233593034</v>
      </c>
      <c r="G29" t="s">
        <v>90</v>
      </c>
      <c r="H29" s="16">
        <f>D12*(1+D13)</f>
        <v>8842.1728127634378</v>
      </c>
    </row>
    <row r="30" spans="1:10" ht="15">
      <c r="A30" s="2" t="s">
        <v>91</v>
      </c>
      <c r="B30" s="16">
        <f>B28+B29</f>
        <v>5901.4604999999992</v>
      </c>
      <c r="C30" s="17">
        <f>B30/D7</f>
        <v>6.5</v>
      </c>
      <c r="D30" s="18">
        <f>B30/$B$32</f>
        <v>0.52822389678903148</v>
      </c>
      <c r="G30" t="s">
        <v>79</v>
      </c>
      <c r="H30" s="16">
        <f>D14</f>
        <v>137.82673278168056</v>
      </c>
    </row>
    <row r="31" spans="1:10">
      <c r="A31" t="s">
        <v>21</v>
      </c>
      <c r="B31" s="16">
        <f>B32-B30</f>
        <v>5270.8104553161265</v>
      </c>
      <c r="C31" s="17">
        <f>B31/D7</f>
        <v>5.8053879983700352</v>
      </c>
      <c r="D31" s="18">
        <f>B31/$B$32</f>
        <v>0.47177610321096852</v>
      </c>
      <c r="G31" t="s">
        <v>80</v>
      </c>
      <c r="H31" s="16">
        <f>D15</f>
        <v>1637.4394097710069</v>
      </c>
    </row>
    <row r="32" spans="1:10" ht="15">
      <c r="A32" s="2" t="s">
        <v>22</v>
      </c>
      <c r="B32" s="16">
        <f>H32</f>
        <v>11172.270955316126</v>
      </c>
      <c r="G32" s="2" t="s">
        <v>92</v>
      </c>
      <c r="H32" s="16">
        <f>SUM(H28:H31)</f>
        <v>11172.270955316126</v>
      </c>
    </row>
    <row r="37" spans="1:8" ht="15">
      <c r="A37" s="13" t="s">
        <v>93</v>
      </c>
    </row>
    <row r="39" spans="1:8" ht="15">
      <c r="A39" s="2" t="s">
        <v>94</v>
      </c>
      <c r="C39" s="8">
        <v>0</v>
      </c>
      <c r="D39" s="8">
        <v>1</v>
      </c>
      <c r="E39" s="8">
        <v>2</v>
      </c>
      <c r="F39" s="8">
        <v>3</v>
      </c>
      <c r="G39" s="8">
        <v>4</v>
      </c>
      <c r="H39" s="8">
        <v>5</v>
      </c>
    </row>
    <row r="40" spans="1:8">
      <c r="A40" t="s">
        <v>37</v>
      </c>
      <c r="B40" t="s">
        <v>10</v>
      </c>
      <c r="C40" s="16">
        <f>'Historical Financials'!I4</f>
        <v>1168.7739999999999</v>
      </c>
      <c r="D40" s="16">
        <f>'Operating Assumptions'!D3</f>
        <v>1678.2570793975999</v>
      </c>
      <c r="E40" s="16">
        <f>'Operating Assumptions'!E3</f>
        <v>2331.9347992366388</v>
      </c>
      <c r="F40" s="16">
        <f>'Operating Assumptions'!F3</f>
        <v>2904.37868211764</v>
      </c>
      <c r="G40" s="16">
        <f>'Operating Assumptions'!G3</f>
        <v>3281.9479107929319</v>
      </c>
      <c r="H40" s="16">
        <f>'Operating Assumptions'!H3</f>
        <v>3511.684264548438</v>
      </c>
    </row>
    <row r="46" spans="1:8">
      <c r="A46" t="s">
        <v>95</v>
      </c>
      <c r="B46" t="s">
        <v>10</v>
      </c>
      <c r="D46" s="16">
        <f>'Operating Assumptions'!D5</f>
        <v>-385.99912826144799</v>
      </c>
      <c r="E46" s="16">
        <f>'Operating Assumptions'!E5</f>
        <v>-513.02565583206069</v>
      </c>
      <c r="F46" s="16">
        <f>'Operating Assumptions'!F5</f>
        <v>-609.91952324470424</v>
      </c>
      <c r="G46" s="16">
        <f>'Operating Assumptions'!G5</f>
        <v>-656.38958215858656</v>
      </c>
      <c r="H46" s="16">
        <f>'Operating Assumptions'!H5</f>
        <v>-702.33685290968765</v>
      </c>
    </row>
    <row r="48" spans="1:8" ht="15">
      <c r="A48" s="2" t="s">
        <v>96</v>
      </c>
      <c r="D48" s="16">
        <f>D40-D46</f>
        <v>2064.256207659048</v>
      </c>
      <c r="E48" s="16">
        <f>E40-E46</f>
        <v>2844.9604550686995</v>
      </c>
      <c r="F48" s="16">
        <f>F40-F46</f>
        <v>3514.2982053623441</v>
      </c>
      <c r="G48" s="16">
        <f>G40-G46</f>
        <v>3938.3374929515185</v>
      </c>
      <c r="H48" s="16">
        <f>H40-H46</f>
        <v>4214.0211174581254</v>
      </c>
    </row>
    <row r="56" spans="1:8">
      <c r="A56" t="s">
        <v>97</v>
      </c>
      <c r="B56" t="s">
        <v>10</v>
      </c>
      <c r="D56" s="16">
        <f>'Operating Assumptions'!D7*D40</f>
        <v>806.91384500480001</v>
      </c>
      <c r="E56" s="16">
        <f>'Operating Assumptions'!E7*E40</f>
        <v>1121.2051468467196</v>
      </c>
      <c r="F56" s="16">
        <f>'Operating Assumptions'!F7*F40</f>
        <v>1396.4388403347202</v>
      </c>
      <c r="G56" s="16">
        <f>'Operating Assumptions'!G7*G40</f>
        <v>1577.9758895782331</v>
      </c>
      <c r="H56" s="16">
        <f>'Operating Assumptions'!H7*H40</f>
        <v>1688.4342018487098</v>
      </c>
    </row>
    <row r="58" spans="1:8" ht="15">
      <c r="A58" s="2" t="s">
        <v>98</v>
      </c>
      <c r="D58" s="16">
        <f>D48-D56</f>
        <v>1257.3423626542481</v>
      </c>
      <c r="E58" s="16">
        <f>E48-E56</f>
        <v>1723.7553082219799</v>
      </c>
      <c r="F58" s="16">
        <f>F48-F56</f>
        <v>2117.8593650276239</v>
      </c>
      <c r="G58" s="16">
        <f>G48-G56</f>
        <v>2360.3616033732851</v>
      </c>
      <c r="H58" s="16">
        <f>H48-H56</f>
        <v>2525.5869156094159</v>
      </c>
    </row>
    <row r="59" spans="1:8">
      <c r="A59" t="s">
        <v>99</v>
      </c>
      <c r="D59" s="18">
        <f>D58/D40</f>
        <v>0.74919532775369757</v>
      </c>
      <c r="E59" s="18">
        <f>E58/E40</f>
        <v>0.73919532775369745</v>
      </c>
      <c r="F59" s="18">
        <f>F58/F40</f>
        <v>0.72919532775369733</v>
      </c>
      <c r="G59" s="18">
        <f>G58/G40</f>
        <v>0.71919532775369743</v>
      </c>
      <c r="H59" s="18">
        <f>H58/H40</f>
        <v>0.71919532775369743</v>
      </c>
    </row>
    <row r="61" spans="1:8">
      <c r="A61" t="s">
        <v>40</v>
      </c>
      <c r="D61" s="16">
        <f>'Operating Assumptions'!D9</f>
        <v>382.822</v>
      </c>
      <c r="E61" s="16">
        <f>'Operating Assumptions'!E9</f>
        <v>497.39800000000002</v>
      </c>
      <c r="F61" s="16">
        <f>'Operating Assumptions'!F9</f>
        <v>615.10239999999999</v>
      </c>
      <c r="G61" s="16">
        <f>'Operating Assumptions'!G9</f>
        <v>730.55070000000001</v>
      </c>
      <c r="H61" s="16">
        <f>'Operating Assumptions'!H9</f>
        <v>854.02679999999998</v>
      </c>
    </row>
    <row r="63" spans="1:8" ht="15">
      <c r="A63" s="2" t="s">
        <v>100</v>
      </c>
      <c r="D63" s="16">
        <f>D58-D61</f>
        <v>874.52036265424806</v>
      </c>
      <c r="E63" s="16">
        <f>E58-E61</f>
        <v>1226.35730822198</v>
      </c>
      <c r="F63" s="16">
        <f>F58-F61</f>
        <v>1502.7569650276239</v>
      </c>
      <c r="G63" s="16">
        <f>G58-G61</f>
        <v>1629.8109033732851</v>
      </c>
      <c r="H63" s="16">
        <f>H58-H61</f>
        <v>1671.5601156094158</v>
      </c>
    </row>
    <row r="66" spans="1:8">
      <c r="A66" t="s">
        <v>101</v>
      </c>
      <c r="D66" s="16">
        <f>D117</f>
        <v>476.6564249999999</v>
      </c>
      <c r="E66" s="16">
        <f>E117</f>
        <v>379.20707540201181</v>
      </c>
      <c r="F66" s="16">
        <f>F117</f>
        <v>379.20707540201181</v>
      </c>
      <c r="G66" s="16">
        <f>G117</f>
        <v>359.95266740437069</v>
      </c>
      <c r="H66" s="16">
        <f>H117</f>
        <v>321.90729511595077</v>
      </c>
    </row>
    <row r="67" spans="1:8">
      <c r="A67" t="s">
        <v>63</v>
      </c>
      <c r="D67" s="16">
        <f>'Operating Assumptions'!D13</f>
        <v>0</v>
      </c>
      <c r="E67" s="16">
        <f>'Operating Assumptions'!E13</f>
        <v>0</v>
      </c>
      <c r="F67" s="16">
        <f>'Operating Assumptions'!F13</f>
        <v>0</v>
      </c>
      <c r="G67" s="16">
        <f>'Operating Assumptions'!G13</f>
        <v>0</v>
      </c>
      <c r="H67" s="16">
        <f>'Operating Assumptions'!H13</f>
        <v>0</v>
      </c>
    </row>
    <row r="69" spans="1:8" ht="15">
      <c r="A69" s="2" t="s">
        <v>102</v>
      </c>
      <c r="D69" s="16">
        <f>D63-D66+D67</f>
        <v>397.86393765424816</v>
      </c>
      <c r="E69" s="16">
        <f>E63-E66+E67</f>
        <v>847.15023281996821</v>
      </c>
      <c r="F69" s="16">
        <f>F63-F66+F67</f>
        <v>1123.5498896256122</v>
      </c>
      <c r="G69" s="16">
        <f>G63-G66+G67</f>
        <v>1269.8582359689144</v>
      </c>
      <c r="H69" s="16">
        <f>H63-H66+H67</f>
        <v>1349.652820493465</v>
      </c>
    </row>
    <row r="72" spans="1:8">
      <c r="A72" t="s">
        <v>103</v>
      </c>
      <c r="D72" s="16">
        <f>IF(D69&gt;0,'Operating Assumptions'!D11*D69,0)</f>
        <v>139.25237817898685</v>
      </c>
      <c r="E72" s="16">
        <f>IF(E69&gt;0,'Operating Assumptions'!E11*E69,0)</f>
        <v>296.50258148698884</v>
      </c>
      <c r="F72" s="16">
        <f>IF(F69&gt;0,'Operating Assumptions'!F11*F69,0)</f>
        <v>393.24246136896426</v>
      </c>
      <c r="G72" s="16">
        <f>IF(G69&gt;0,'Operating Assumptions'!G11*G69,0)</f>
        <v>444.45038258912001</v>
      </c>
      <c r="H72" s="16">
        <f>IF(H69&gt;0,'Operating Assumptions'!H11*H69,0)</f>
        <v>472.37848717271271</v>
      </c>
    </row>
    <row r="75" spans="1:8" ht="15">
      <c r="A75" s="2" t="s">
        <v>104</v>
      </c>
      <c r="D75" s="16">
        <f>D69-D72</f>
        <v>258.61155947526129</v>
      </c>
      <c r="E75" s="16">
        <f>E69-E72</f>
        <v>550.64765133297942</v>
      </c>
      <c r="F75" s="16">
        <f>F69-F72</f>
        <v>730.30742825664788</v>
      </c>
      <c r="G75" s="16">
        <f>G69-G72</f>
        <v>825.40785337979446</v>
      </c>
      <c r="H75" s="16">
        <f>H69-H72</f>
        <v>877.27433332075225</v>
      </c>
    </row>
    <row r="78" spans="1:8" ht="15">
      <c r="A78" s="2" t="s">
        <v>105</v>
      </c>
      <c r="D78" s="16">
        <f>D58+'Operating Assumptions'!D10</f>
        <v>1295.942362654248</v>
      </c>
      <c r="E78" s="16">
        <f>E58+'Operating Assumptions'!E10</f>
        <v>1762.3553082219798</v>
      </c>
      <c r="F78" s="16">
        <f>F58+'Operating Assumptions'!F10</f>
        <v>2156.4593650276238</v>
      </c>
      <c r="G78" s="16">
        <f>G58+'Operating Assumptions'!G10</f>
        <v>2398.961603373285</v>
      </c>
      <c r="H78" s="16">
        <f>H58+'Operating Assumptions'!H10</f>
        <v>2564.1869156094158</v>
      </c>
    </row>
    <row r="81" spans="1:8" ht="15">
      <c r="A81" s="2" t="s">
        <v>106</v>
      </c>
    </row>
    <row r="82" spans="1:8">
      <c r="A82" t="s">
        <v>104</v>
      </c>
      <c r="D82" s="16">
        <f>D75</f>
        <v>258.61155947526129</v>
      </c>
      <c r="E82" s="16">
        <f>E75</f>
        <v>550.64765133297942</v>
      </c>
      <c r="F82" s="16">
        <f>F75</f>
        <v>730.30742825664788</v>
      </c>
      <c r="G82" s="16">
        <f>G75</f>
        <v>825.40785337979446</v>
      </c>
      <c r="H82" s="16">
        <f>H75</f>
        <v>877.27433332075225</v>
      </c>
    </row>
    <row r="83" spans="1:8">
      <c r="A83" t="s">
        <v>107</v>
      </c>
      <c r="D83" s="16">
        <f>D61</f>
        <v>382.822</v>
      </c>
      <c r="E83" s="16">
        <f>E61</f>
        <v>497.39800000000002</v>
      </c>
      <c r="F83" s="16">
        <f>F61</f>
        <v>615.10239999999999</v>
      </c>
      <c r="G83" s="16">
        <f>G61</f>
        <v>730.55070000000001</v>
      </c>
      <c r="H83" s="16">
        <f>H61</f>
        <v>854.02679999999998</v>
      </c>
    </row>
    <row r="84" spans="1:8">
      <c r="A84" t="s">
        <v>108</v>
      </c>
      <c r="D84" s="16">
        <f>'Operating Assumptions'!D10</f>
        <v>38.6</v>
      </c>
      <c r="E84" s="16">
        <f>'Operating Assumptions'!E10</f>
        <v>38.6</v>
      </c>
      <c r="F84" s="16">
        <f>'Operating Assumptions'!F10</f>
        <v>38.6</v>
      </c>
      <c r="G84" s="16">
        <f>'Operating Assumptions'!G10</f>
        <v>38.6</v>
      </c>
      <c r="H84" s="16">
        <f>'Operating Assumptions'!H10</f>
        <v>38.6</v>
      </c>
    </row>
    <row r="85" spans="1:8">
      <c r="A85" t="s">
        <v>109</v>
      </c>
      <c r="D85" s="16">
        <f>-'Operating Assumptions'!D8</f>
        <v>-967.2</v>
      </c>
      <c r="E85" s="16">
        <f>-'Operating Assumptions'!E8</f>
        <v>-1041.5999999999999</v>
      </c>
      <c r="F85" s="16">
        <f>-'Operating Assumptions'!F8</f>
        <v>-1070.04</v>
      </c>
      <c r="G85" s="16">
        <f>-'Operating Assumptions'!G8</f>
        <v>-1049.53</v>
      </c>
      <c r="H85" s="16">
        <f>-'Operating Assumptions'!H8</f>
        <v>-1122.51</v>
      </c>
    </row>
    <row r="86" spans="1:8">
      <c r="A86" t="s">
        <v>110</v>
      </c>
      <c r="D86" s="16">
        <f>-'Operating Assumptions'!D12*(D40-C40)</f>
        <v>-50.948307939760006</v>
      </c>
      <c r="E86" s="16">
        <f>-'Operating Assumptions'!E12*(E40-D40)</f>
        <v>-65.367771983903893</v>
      </c>
      <c r="F86" s="16">
        <f>-'Operating Assumptions'!F12*(F40-E40)</f>
        <v>-57.244388288100119</v>
      </c>
      <c r="G86" s="16">
        <f>-'Operating Assumptions'!G12*(G40-F40)</f>
        <v>-37.756922867529191</v>
      </c>
      <c r="H86" s="16">
        <f>-'Operating Assumptions'!H12*(H40-G40)</f>
        <v>-22.973635375550614</v>
      </c>
    </row>
    <row r="88" spans="1:8" ht="15">
      <c r="A88" s="2" t="s">
        <v>106</v>
      </c>
      <c r="D88" s="16">
        <f>D82+D83+D84+D85+D86</f>
        <v>-338.11474846449875</v>
      </c>
      <c r="E88" s="16">
        <f>E82+E83+E84+E85+E86</f>
        <v>-20.322120650924333</v>
      </c>
      <c r="F88" s="16">
        <f>F82+F83+F84+F85+F86</f>
        <v>256.72543996854768</v>
      </c>
      <c r="G88" s="16">
        <f>G82+G83+G84+G85+G86</f>
        <v>507.27163051226523</v>
      </c>
      <c r="H88" s="16">
        <f>H82+H83+H84+H85+H86</f>
        <v>624.4174979452016</v>
      </c>
    </row>
    <row r="90" spans="1:8">
      <c r="A90" t="s">
        <v>111</v>
      </c>
      <c r="D90" s="16">
        <f>D15</f>
        <v>1637.4394097710069</v>
      </c>
      <c r="E90" s="16">
        <f>MAX(0,D90+D88+D118)</f>
        <v>0</v>
      </c>
      <c r="F90" s="16">
        <f>MAX(0,E90+E88+E118)</f>
        <v>0</v>
      </c>
      <c r="G90" s="16">
        <f>MAX(0,F90+F88+F118)</f>
        <v>0</v>
      </c>
      <c r="H90" s="16">
        <f>MAX(0,G90+G88+G118)</f>
        <v>0</v>
      </c>
    </row>
    <row r="91" spans="1:8" ht="15">
      <c r="A91" s="2" t="s">
        <v>112</v>
      </c>
      <c r="D91" s="16">
        <f>MAX(0,D88+D90)</f>
        <v>1299.3246613065082</v>
      </c>
      <c r="E91" s="16">
        <f>MAX(0,E88+E90)</f>
        <v>0</v>
      </c>
      <c r="F91" s="16">
        <f>MAX(0,F88+F90)</f>
        <v>256.72543996854768</v>
      </c>
      <c r="G91" s="16">
        <f>MAX(0,G88+G90)</f>
        <v>507.27163051226523</v>
      </c>
      <c r="H91" s="16">
        <f>MAX(0,H88+H90)</f>
        <v>624.4174979452016</v>
      </c>
    </row>
    <row r="96" spans="1:8" ht="15">
      <c r="A96" s="13" t="s">
        <v>113</v>
      </c>
    </row>
    <row r="97" spans="1:8" ht="15">
      <c r="A97" s="2" t="s">
        <v>75</v>
      </c>
    </row>
    <row r="98" spans="1:8">
      <c r="A98" t="s">
        <v>114</v>
      </c>
      <c r="D98" s="16">
        <f>K9*D7</f>
        <v>0</v>
      </c>
      <c r="E98" s="16">
        <f>D101</f>
        <v>0</v>
      </c>
      <c r="F98" s="16">
        <f>E101</f>
        <v>0</v>
      </c>
      <c r="G98" s="16">
        <f>F101</f>
        <v>0</v>
      </c>
      <c r="H98" s="16">
        <f>G101</f>
        <v>0</v>
      </c>
    </row>
    <row r="99" spans="1:8">
      <c r="A99" t="s">
        <v>115</v>
      </c>
      <c r="D99" s="16">
        <f>D98*$L$9</f>
        <v>0</v>
      </c>
      <c r="E99" s="16">
        <f>E98*$L$9</f>
        <v>0</v>
      </c>
      <c r="F99" s="16">
        <f>F98*$L$9</f>
        <v>0</v>
      </c>
      <c r="G99" s="16">
        <f>G98*$L$9</f>
        <v>0</v>
      </c>
      <c r="H99" s="16">
        <f>H98*$L$9</f>
        <v>0</v>
      </c>
    </row>
    <row r="100" spans="1:8">
      <c r="A100" t="s">
        <v>116</v>
      </c>
      <c r="D100" s="16">
        <f>-MIN(D91,D98)</f>
        <v>0</v>
      </c>
      <c r="E100" s="16">
        <f>-MIN(E91,E98)</f>
        <v>0</v>
      </c>
      <c r="F100" s="16">
        <f>-MIN(F91,F98)</f>
        <v>0</v>
      </c>
      <c r="G100" s="16">
        <f>-MIN(G91,G98)</f>
        <v>0</v>
      </c>
      <c r="H100" s="16">
        <f>-MIN(H91,H98)</f>
        <v>0</v>
      </c>
    </row>
    <row r="101" spans="1:8" ht="15">
      <c r="A101" s="2" t="s">
        <v>117</v>
      </c>
      <c r="D101" s="16">
        <f>D98+D100</f>
        <v>0</v>
      </c>
      <c r="E101" s="16">
        <f>E98+E100</f>
        <v>0</v>
      </c>
      <c r="F101" s="16">
        <f>F98+F100</f>
        <v>0</v>
      </c>
      <c r="G101" s="16">
        <f>G98+G100</f>
        <v>0</v>
      </c>
      <c r="H101" s="16">
        <f>H98+H100</f>
        <v>0</v>
      </c>
    </row>
    <row r="103" spans="1:8" ht="15">
      <c r="A103" s="2" t="s">
        <v>71</v>
      </c>
    </row>
    <row r="104" spans="1:8">
      <c r="A104" t="s">
        <v>114</v>
      </c>
      <c r="D104" s="16">
        <f>B28</f>
        <v>4539.5849999999991</v>
      </c>
      <c r="E104" s="16">
        <f>D107</f>
        <v>3240.2603386934907</v>
      </c>
      <c r="F104" s="16">
        <f>E107</f>
        <v>3240.2603386934907</v>
      </c>
      <c r="G104" s="16">
        <f>F107</f>
        <v>2983.5348987249431</v>
      </c>
      <c r="H104" s="16">
        <f>G107</f>
        <v>2476.2632682126778</v>
      </c>
    </row>
    <row r="105" spans="1:8">
      <c r="A105" t="s">
        <v>115</v>
      </c>
      <c r="D105" s="16">
        <f>D104*$L$7</f>
        <v>340.46887499999991</v>
      </c>
      <c r="E105" s="16">
        <f>E104*$L$7</f>
        <v>243.01952540201179</v>
      </c>
      <c r="F105" s="16">
        <f>F104*$L$7</f>
        <v>243.01952540201179</v>
      </c>
      <c r="G105" s="16">
        <f>G104*$L$7</f>
        <v>223.76511740437073</v>
      </c>
      <c r="H105" s="16">
        <f>H104*$L$7</f>
        <v>185.71974511595081</v>
      </c>
    </row>
    <row r="106" spans="1:8">
      <c r="A106" t="s">
        <v>118</v>
      </c>
      <c r="D106" s="16">
        <f>-MIN(D104,MAX(0,D91+D100))</f>
        <v>-1299.3246613065082</v>
      </c>
      <c r="E106" s="16">
        <f>-MIN(E104,MAX(0,E91+E100))</f>
        <v>0</v>
      </c>
      <c r="F106" s="16">
        <f>-MIN(F104,MAX(0,F91+F100))</f>
        <v>-256.72543996854768</v>
      </c>
      <c r="G106" s="16">
        <f>-MIN(G104,MAX(0,G91+G100))</f>
        <v>-507.27163051226523</v>
      </c>
      <c r="H106" s="16">
        <f>-MIN(H104,MAX(0,H91+H100))</f>
        <v>-624.4174979452016</v>
      </c>
    </row>
    <row r="107" spans="1:8" ht="15">
      <c r="A107" s="2" t="s">
        <v>117</v>
      </c>
      <c r="D107" s="16">
        <f>D104+D106</f>
        <v>3240.2603386934907</v>
      </c>
      <c r="E107" s="16">
        <f>E104+E106</f>
        <v>3240.2603386934907</v>
      </c>
      <c r="F107" s="16">
        <f>F104+F106</f>
        <v>2983.5348987249431</v>
      </c>
      <c r="G107" s="16">
        <f>G104+G106</f>
        <v>2476.2632682126778</v>
      </c>
      <c r="H107" s="16">
        <f>H104+H106</f>
        <v>1851.8457702674762</v>
      </c>
    </row>
    <row r="109" spans="1:8" ht="15">
      <c r="A109" s="2" t="s">
        <v>73</v>
      </c>
    </row>
    <row r="110" spans="1:8">
      <c r="A110" t="s">
        <v>114</v>
      </c>
      <c r="D110" s="16">
        <f>B29</f>
        <v>1361.8754999999999</v>
      </c>
      <c r="E110" s="16">
        <f>D113</f>
        <v>1361.8754999999999</v>
      </c>
      <c r="F110" s="16">
        <f>E113</f>
        <v>1361.8754999999999</v>
      </c>
      <c r="G110" s="16">
        <f>F113</f>
        <v>1361.8754999999999</v>
      </c>
      <c r="H110" s="16">
        <f>G113</f>
        <v>1361.8754999999999</v>
      </c>
    </row>
    <row r="111" spans="1:8">
      <c r="A111" t="s">
        <v>115</v>
      </c>
      <c r="D111" s="16">
        <f>D110*$L$8</f>
        <v>136.18754999999999</v>
      </c>
      <c r="E111" s="16">
        <f>E110*$L$8</f>
        <v>136.18754999999999</v>
      </c>
      <c r="F111" s="16">
        <f>F110*$L$8</f>
        <v>136.18754999999999</v>
      </c>
      <c r="G111" s="16">
        <f>G110*$L$8</f>
        <v>136.18754999999999</v>
      </c>
      <c r="H111" s="16">
        <f>H110*$L$8</f>
        <v>136.18754999999999</v>
      </c>
    </row>
    <row r="112" spans="1:8">
      <c r="A112" t="s">
        <v>118</v>
      </c>
      <c r="D112" s="16">
        <f>-MIN(D110,MAX(0,D91+D100+D106))</f>
        <v>0</v>
      </c>
      <c r="E112" s="16">
        <f>-MIN(E110,MAX(0,E91+E100+E106))</f>
        <v>0</v>
      </c>
      <c r="F112" s="16">
        <f>-MIN(F110,MAX(0,F91+F100+F106))</f>
        <v>0</v>
      </c>
      <c r="G112" s="16">
        <f>-MIN(G110,MAX(0,G91+G100+G106))</f>
        <v>0</v>
      </c>
      <c r="H112" s="16">
        <f>-MIN(H110,MAX(0,H91+H100+H106))</f>
        <v>0</v>
      </c>
    </row>
    <row r="113" spans="1:8" ht="15">
      <c r="A113" s="2" t="s">
        <v>117</v>
      </c>
      <c r="D113" s="16">
        <f>D110+D112</f>
        <v>1361.8754999999999</v>
      </c>
      <c r="E113" s="16">
        <f>E110+E112</f>
        <v>1361.8754999999999</v>
      </c>
      <c r="F113" s="16">
        <f>F110+F112</f>
        <v>1361.8754999999999</v>
      </c>
      <c r="G113" s="16">
        <f>G110+G112</f>
        <v>1361.8754999999999</v>
      </c>
      <c r="H113" s="16">
        <f>H110+H112</f>
        <v>1361.8754999999999</v>
      </c>
    </row>
    <row r="115" spans="1:8" ht="15">
      <c r="A115" s="2" t="s">
        <v>91</v>
      </c>
    </row>
    <row r="116" spans="1:8">
      <c r="A116" t="s">
        <v>114</v>
      </c>
      <c r="D116" s="16">
        <f t="shared" ref="D116:H119" si="0">D98+D104+D110</f>
        <v>5901.4604999999992</v>
      </c>
      <c r="E116" s="16">
        <f t="shared" si="0"/>
        <v>4602.1358386934908</v>
      </c>
      <c r="F116" s="16">
        <f t="shared" si="0"/>
        <v>4602.1358386934908</v>
      </c>
      <c r="G116" s="16">
        <f t="shared" si="0"/>
        <v>4345.4103987249428</v>
      </c>
      <c r="H116" s="16">
        <f t="shared" si="0"/>
        <v>3838.1387682126779</v>
      </c>
    </row>
    <row r="117" spans="1:8">
      <c r="A117" t="s">
        <v>115</v>
      </c>
      <c r="D117" s="16">
        <f t="shared" si="0"/>
        <v>476.6564249999999</v>
      </c>
      <c r="E117" s="16">
        <f t="shared" si="0"/>
        <v>379.20707540201181</v>
      </c>
      <c r="F117" s="16">
        <f t="shared" si="0"/>
        <v>379.20707540201181</v>
      </c>
      <c r="G117" s="16">
        <f t="shared" si="0"/>
        <v>359.95266740437069</v>
      </c>
      <c r="H117" s="16">
        <f t="shared" si="0"/>
        <v>321.90729511595077</v>
      </c>
    </row>
    <row r="118" spans="1:8">
      <c r="A118" t="s">
        <v>118</v>
      </c>
      <c r="D118" s="16">
        <f t="shared" si="0"/>
        <v>-1299.3246613065082</v>
      </c>
      <c r="E118" s="16">
        <f t="shared" si="0"/>
        <v>0</v>
      </c>
      <c r="F118" s="16">
        <f t="shared" si="0"/>
        <v>-256.72543996854768</v>
      </c>
      <c r="G118" s="16">
        <f t="shared" si="0"/>
        <v>-507.27163051226523</v>
      </c>
      <c r="H118" s="16">
        <f t="shared" si="0"/>
        <v>-624.4174979452016</v>
      </c>
    </row>
    <row r="119" spans="1:8" ht="15">
      <c r="A119" s="2" t="s">
        <v>117</v>
      </c>
      <c r="D119" s="16">
        <f t="shared" si="0"/>
        <v>4602.1358386934908</v>
      </c>
      <c r="E119" s="16">
        <f t="shared" si="0"/>
        <v>4602.1358386934908</v>
      </c>
      <c r="F119" s="16">
        <f t="shared" si="0"/>
        <v>4345.4103987249428</v>
      </c>
      <c r="G119" s="16">
        <f t="shared" si="0"/>
        <v>3838.1387682126779</v>
      </c>
      <c r="H119" s="16">
        <f t="shared" si="0"/>
        <v>3213.721270267476</v>
      </c>
    </row>
    <row r="121" spans="1:8" ht="15">
      <c r="A121" s="13" t="s">
        <v>119</v>
      </c>
    </row>
    <row r="122" spans="1:8">
      <c r="A122" t="s">
        <v>120</v>
      </c>
      <c r="H122" s="16">
        <f>H78</f>
        <v>2564.1869156094158</v>
      </c>
    </row>
    <row r="123" spans="1:8">
      <c r="A123" t="s">
        <v>24</v>
      </c>
      <c r="H123" s="17">
        <f>D18</f>
        <v>7.5902716207362886</v>
      </c>
    </row>
    <row r="124" spans="1:8">
      <c r="A124" t="s">
        <v>25</v>
      </c>
      <c r="H124" s="16">
        <f>H122*H123</f>
        <v>19462.875175813464</v>
      </c>
    </row>
    <row r="125" spans="1:8">
      <c r="A125" t="s">
        <v>121</v>
      </c>
      <c r="H125" s="16">
        <f>H119-H90</f>
        <v>3213.721270267476</v>
      </c>
    </row>
    <row r="126" spans="1:8" ht="15">
      <c r="A126" s="2" t="s">
        <v>26</v>
      </c>
      <c r="H126" s="16">
        <f>H124-H125</f>
        <v>16249.153905545987</v>
      </c>
    </row>
    <row r="128" spans="1:8">
      <c r="A128" t="s">
        <v>122</v>
      </c>
      <c r="H128" s="16">
        <f>B31</f>
        <v>5270.8104553161265</v>
      </c>
    </row>
    <row r="130" spans="1:8" ht="15">
      <c r="A130" s="2" t="s">
        <v>27</v>
      </c>
      <c r="H130" s="19">
        <f>H126/H128</f>
        <v>3.0828568098397713</v>
      </c>
    </row>
    <row r="131" spans="1:8" ht="15">
      <c r="A131" s="2" t="s">
        <v>28</v>
      </c>
      <c r="H131" s="20">
        <f>H130^(1/5)-1</f>
        <v>0.25253730823905807</v>
      </c>
    </row>
    <row r="133" spans="1:8" ht="15">
      <c r="A133" s="13" t="s">
        <v>123</v>
      </c>
      <c r="B133" s="2" t="s">
        <v>124</v>
      </c>
    </row>
    <row r="134" spans="1:8" ht="15">
      <c r="A134" s="2" t="s">
        <v>125</v>
      </c>
    </row>
    <row r="135" spans="1:8">
      <c r="A135" t="s">
        <v>126</v>
      </c>
      <c r="B135" t="s">
        <v>127</v>
      </c>
      <c r="D135" s="17">
        <f>D107/D78</f>
        <v>2.50031207565207</v>
      </c>
      <c r="E135" s="17">
        <f>E107/E78</f>
        <v>1.8385965211308906</v>
      </c>
      <c r="F135" s="17">
        <f>F107/F78</f>
        <v>1.3835340220689596</v>
      </c>
      <c r="G135" s="17">
        <f>G107/G78</f>
        <v>1.0322229687756133</v>
      </c>
      <c r="H135" s="17">
        <f>H107/H78</f>
        <v>0.72219609225615222</v>
      </c>
    </row>
    <row r="136" spans="1:8">
      <c r="A136" t="s">
        <v>128</v>
      </c>
      <c r="B136" t="s">
        <v>129</v>
      </c>
      <c r="D136" s="17">
        <f>D119/D78</f>
        <v>3.5511886726719508</v>
      </c>
      <c r="E136" s="17">
        <f>E119/E78</f>
        <v>2.6113552796209598</v>
      </c>
      <c r="F136" s="17">
        <f>F119/F78</f>
        <v>2.0150671369916022</v>
      </c>
      <c r="G136" s="17">
        <f>G119/G78</f>
        <v>1.5999167151386262</v>
      </c>
      <c r="H136" s="17">
        <f>H119/H78</f>
        <v>1.2533100651532219</v>
      </c>
    </row>
    <row r="138" spans="1:8" ht="15">
      <c r="A138" s="2" t="s">
        <v>130</v>
      </c>
    </row>
    <row r="139" spans="1:8">
      <c r="A139" t="s">
        <v>131</v>
      </c>
      <c r="B139" t="s">
        <v>132</v>
      </c>
      <c r="D139" s="17">
        <f>IFERROR(D78/D117,0)</f>
        <v>2.7188186179473992</v>
      </c>
      <c r="E139" s="17">
        <f>IFERROR(E78/E117,0)</f>
        <v>4.6474747507114422</v>
      </c>
      <c r="F139" s="17">
        <f>IFERROR(F78/F117,0)</f>
        <v>5.6867593062220143</v>
      </c>
      <c r="G139" s="17">
        <f>IFERROR(G78/G117,0)</f>
        <v>6.6646584971081557</v>
      </c>
      <c r="H139" s="17">
        <f>IFERROR(H78/H117,0)</f>
        <v>7.9656067275076747</v>
      </c>
    </row>
    <row r="141" spans="1:8" ht="15">
      <c r="A141" s="2" t="s">
        <v>133</v>
      </c>
    </row>
    <row r="142" spans="1:8">
      <c r="A142" t="s">
        <v>134</v>
      </c>
      <c r="D142" s="18">
        <f>D119/(D119+$B$31)</f>
        <v>0.46613601468548699</v>
      </c>
      <c r="E142" s="18">
        <f>E119/(E119+$B$31)</f>
        <v>0.46613601468548699</v>
      </c>
      <c r="F142" s="18">
        <f>F119/(F119+$B$31)</f>
        <v>0.45188338170278725</v>
      </c>
      <c r="G142" s="18">
        <f>G119/(G119+$B$31)</f>
        <v>0.42135911333204068</v>
      </c>
      <c r="H142" s="18">
        <f>H119/(H119+$B$31)</f>
        <v>0.37877414737893772</v>
      </c>
    </row>
    <row r="143" spans="1:8">
      <c r="A143" t="s">
        <v>135</v>
      </c>
      <c r="D143" s="18">
        <f>$B$31/($B$31+D119)</f>
        <v>0.53386398531451307</v>
      </c>
      <c r="E143" s="18">
        <f>$B$31/($B$31+E119)</f>
        <v>0.53386398531451307</v>
      </c>
      <c r="F143" s="18">
        <f>$B$31/($B$31+F119)</f>
        <v>0.54811661829721281</v>
      </c>
      <c r="G143" s="18">
        <f>$B$31/($B$31+G119)</f>
        <v>0.57864088666795921</v>
      </c>
      <c r="H143" s="18">
        <f>$B$31/($B$31+H119)</f>
        <v>0.62122585262106234</v>
      </c>
    </row>
  </sheetData>
  <phoneticPr fontId="7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workbookViewId="0"/>
  </sheetViews>
  <sheetFormatPr baseColWidth="10" defaultColWidth="8.83203125" defaultRowHeight="14"/>
  <cols>
    <col min="1" max="1" width="36" customWidth="1"/>
    <col min="2" max="8" width="12" customWidth="1"/>
  </cols>
  <sheetData>
    <row r="1" spans="1:8" ht="15">
      <c r="A1" s="4" t="s">
        <v>136</v>
      </c>
    </row>
    <row r="3" spans="1:8" ht="15">
      <c r="C3" s="8" t="s">
        <v>49</v>
      </c>
      <c r="D3" s="8" t="s">
        <v>50</v>
      </c>
      <c r="E3" s="8" t="s">
        <v>51</v>
      </c>
      <c r="F3" s="8" t="s">
        <v>52</v>
      </c>
      <c r="G3" s="8" t="s">
        <v>53</v>
      </c>
      <c r="H3" s="8" t="s">
        <v>54</v>
      </c>
    </row>
    <row r="5" spans="1:8" ht="15">
      <c r="A5" s="2" t="s">
        <v>37</v>
      </c>
      <c r="D5" s="16">
        <f>LBO!D40</f>
        <v>1678.2570793975999</v>
      </c>
      <c r="E5" s="16">
        <f>LBO!E40</f>
        <v>2331.9347992366388</v>
      </c>
      <c r="F5" s="16">
        <f>LBO!F40</f>
        <v>2904.37868211764</v>
      </c>
      <c r="G5" s="16">
        <f>LBO!G40</f>
        <v>3281.9479107929319</v>
      </c>
      <c r="H5" s="16">
        <f>LBO!H40</f>
        <v>3511.684264548438</v>
      </c>
    </row>
    <row r="6" spans="1:8" ht="15">
      <c r="A6" s="2" t="s">
        <v>98</v>
      </c>
      <c r="D6" s="16">
        <f>LBO!D58</f>
        <v>1257.3423626542481</v>
      </c>
      <c r="E6" s="16">
        <f>LBO!E58</f>
        <v>1723.7553082219799</v>
      </c>
      <c r="F6" s="16">
        <f>LBO!F58</f>
        <v>2117.8593650276239</v>
      </c>
      <c r="G6" s="16">
        <f>LBO!G58</f>
        <v>2360.3616033732851</v>
      </c>
      <c r="H6" s="16">
        <f>LBO!H58</f>
        <v>2525.5869156094159</v>
      </c>
    </row>
    <row r="7" spans="1:8" ht="15">
      <c r="A7" s="2" t="s">
        <v>137</v>
      </c>
      <c r="D7" s="16">
        <f>LBO!D78</f>
        <v>1295.942362654248</v>
      </c>
      <c r="E7" s="16">
        <f>LBO!E78</f>
        <v>1762.3553082219798</v>
      </c>
      <c r="F7" s="16">
        <f>LBO!F78</f>
        <v>2156.4593650276238</v>
      </c>
      <c r="G7" s="16">
        <f>LBO!G78</f>
        <v>2398.961603373285</v>
      </c>
      <c r="H7" s="16">
        <f>LBO!H78</f>
        <v>2564.1869156094158</v>
      </c>
    </row>
    <row r="8" spans="1:8" ht="15">
      <c r="A8" s="2" t="s">
        <v>100</v>
      </c>
      <c r="D8" s="16">
        <f>LBO!D63</f>
        <v>874.52036265424806</v>
      </c>
      <c r="E8" s="16">
        <f>LBO!E63</f>
        <v>1226.35730822198</v>
      </c>
      <c r="F8" s="16">
        <f>LBO!F63</f>
        <v>1502.7569650276239</v>
      </c>
      <c r="G8" s="16">
        <f>LBO!G63</f>
        <v>1629.8109033732851</v>
      </c>
      <c r="H8" s="16">
        <f>LBO!H63</f>
        <v>1671.5601156094158</v>
      </c>
    </row>
    <row r="9" spans="1:8" ht="15">
      <c r="A9" s="2" t="s">
        <v>115</v>
      </c>
      <c r="D9" s="16">
        <f>LBO!D66</f>
        <v>476.6564249999999</v>
      </c>
      <c r="E9" s="16">
        <f>LBO!E66</f>
        <v>379.20707540201181</v>
      </c>
      <c r="F9" s="16">
        <f>LBO!F66</f>
        <v>379.20707540201181</v>
      </c>
      <c r="G9" s="16">
        <f>LBO!G66</f>
        <v>359.95266740437069</v>
      </c>
      <c r="H9" s="16">
        <f>LBO!H66</f>
        <v>321.90729511595077</v>
      </c>
    </row>
    <row r="10" spans="1:8" ht="15">
      <c r="A10" s="2" t="s">
        <v>104</v>
      </c>
      <c r="D10" s="16">
        <f>LBO!D75</f>
        <v>258.61155947526129</v>
      </c>
      <c r="E10" s="16">
        <f>LBO!E75</f>
        <v>550.64765133297942</v>
      </c>
      <c r="F10" s="16">
        <f>LBO!F75</f>
        <v>730.30742825664788</v>
      </c>
      <c r="G10" s="16">
        <f>LBO!G75</f>
        <v>825.40785337979446</v>
      </c>
      <c r="H10" s="16">
        <f>LBO!H75</f>
        <v>877.27433332075225</v>
      </c>
    </row>
    <row r="11" spans="1:8" ht="15">
      <c r="A11" s="2" t="s">
        <v>106</v>
      </c>
      <c r="D11" s="16">
        <f>LBO!D88</f>
        <v>-338.11474846449875</v>
      </c>
      <c r="E11" s="16">
        <f>LBO!E88</f>
        <v>-20.322120650924333</v>
      </c>
      <c r="F11" s="16">
        <f>LBO!F88</f>
        <v>256.72543996854768</v>
      </c>
      <c r="G11" s="16">
        <f>LBO!G88</f>
        <v>507.27163051226523</v>
      </c>
      <c r="H11" s="16">
        <f>LBO!H88</f>
        <v>624.4174979452016</v>
      </c>
    </row>
    <row r="12" spans="1:8" ht="15">
      <c r="A12" s="2" t="s">
        <v>138</v>
      </c>
      <c r="D12" s="16">
        <f>LBO!D119</f>
        <v>4602.1358386934908</v>
      </c>
      <c r="E12" s="16">
        <f>LBO!E119</f>
        <v>4602.1358386934908</v>
      </c>
      <c r="F12" s="16">
        <f>LBO!F119</f>
        <v>4345.4103987249428</v>
      </c>
      <c r="G12" s="16">
        <f>LBO!G119</f>
        <v>3838.1387682126779</v>
      </c>
      <c r="H12" s="16">
        <f>LBO!H119</f>
        <v>3213.721270267476</v>
      </c>
    </row>
    <row r="13" spans="1:8" ht="15">
      <c r="A13" s="2" t="s">
        <v>139</v>
      </c>
      <c r="D13" s="17">
        <f>(LBO!D119-LBO!D90)/LBO!D78</f>
        <v>2.2876761454501913</v>
      </c>
      <c r="E13" s="17">
        <f>(LBO!E119-LBO!E90)/LBO!E78</f>
        <v>2.6113552796209598</v>
      </c>
      <c r="F13" s="17">
        <f>(LBO!F119-LBO!F90)/LBO!F78</f>
        <v>2.0150671369916022</v>
      </c>
      <c r="G13" s="17">
        <f>(LBO!G119-LBO!G90)/LBO!G78</f>
        <v>1.5999167151386262</v>
      </c>
      <c r="H13" s="17">
        <f>(LBO!H119-LBO!H90)/LBO!H78</f>
        <v>1.2533100651532219</v>
      </c>
    </row>
  </sheetData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Cover</vt:lpstr>
      <vt:lpstr>Summary</vt:lpstr>
      <vt:lpstr>Historical Financials</vt:lpstr>
      <vt:lpstr>Operating Assumptions</vt:lpstr>
      <vt:lpstr>LBO</vt:lpstr>
      <vt:lpstr>Financial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JYXC-DZ-0100037</cp:lastModifiedBy>
  <dcterms:created xsi:type="dcterms:W3CDTF">2026-06-01T02:32:16Z</dcterms:created>
  <dcterms:modified xsi:type="dcterms:W3CDTF">2026-06-01T02:32:39Z</dcterms:modified>
</cp:coreProperties>
</file>